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ott\Documents\School\SLCC\ACCT 2020\Excel Project\"/>
    </mc:Choice>
  </mc:AlternateContent>
  <bookViews>
    <workbookView xWindow="0" yWindow="0" windowWidth="20490" windowHeight="7755" firstSheet="5" activeTab="5"/>
  </bookViews>
  <sheets>
    <sheet name="Sales&amp;Cash Collections" sheetId="1" r:id="rId1"/>
    <sheet name="Production" sheetId="2" r:id="rId2"/>
    <sheet name="Direct Materials+Cash Pmnt" sheetId="3" r:id="rId3"/>
    <sheet name="Direct Labor Pmnt" sheetId="4" r:id="rId4"/>
    <sheet name="MOH Budget" sheetId="5" r:id="rId5"/>
    <sheet name="Operating Expenses" sheetId="6" r:id="rId6"/>
    <sheet name="Combined Cash Budget" sheetId="7" r:id="rId7"/>
    <sheet name="Man. Cost per Unit" sheetId="10" r:id="rId8"/>
    <sheet name="Budgeted Income Stmt" sheetId="11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1" l="1"/>
  <c r="C11" i="11"/>
  <c r="C10" i="11"/>
  <c r="C9" i="11"/>
  <c r="C7" i="11"/>
  <c r="C6" i="11"/>
  <c r="C5" i="11"/>
  <c r="C4" i="11"/>
  <c r="C7" i="10"/>
  <c r="H8" i="5"/>
  <c r="G11" i="2"/>
  <c r="F22" i="7"/>
  <c r="F21" i="7"/>
  <c r="F20" i="7"/>
  <c r="F19" i="7"/>
  <c r="F17" i="7"/>
  <c r="F16" i="7"/>
  <c r="F15" i="7"/>
  <c r="F14" i="7"/>
  <c r="F13" i="7"/>
  <c r="F12" i="7"/>
  <c r="F11" i="7"/>
  <c r="F10" i="7"/>
  <c r="F8" i="7"/>
  <c r="F7" i="7"/>
  <c r="F6" i="7"/>
  <c r="E22" i="7"/>
  <c r="E17" i="7"/>
  <c r="E16" i="7"/>
  <c r="E13" i="7"/>
  <c r="E12" i="7"/>
  <c r="E11" i="7"/>
  <c r="D11" i="7"/>
  <c r="C11" i="7"/>
  <c r="D18" i="1"/>
  <c r="F6" i="6"/>
  <c r="F7" i="5"/>
  <c r="F6" i="5"/>
  <c r="F5" i="4"/>
  <c r="J6" i="4"/>
  <c r="J5" i="4"/>
  <c r="C22" i="3"/>
  <c r="L23" i="3"/>
  <c r="L22" i="3"/>
  <c r="L21" i="3"/>
  <c r="L19" i="3"/>
  <c r="L18" i="3"/>
  <c r="E9" i="3"/>
  <c r="J13" i="3"/>
  <c r="J12" i="3"/>
  <c r="K8" i="3"/>
  <c r="J8" i="3"/>
  <c r="G9" i="2"/>
  <c r="F9" i="2"/>
  <c r="D20" i="1"/>
  <c r="C7" i="7" s="1"/>
  <c r="C8" i="7" s="1"/>
  <c r="F18" i="1"/>
  <c r="E18" i="1"/>
  <c r="E20" i="1" s="1"/>
  <c r="D7" i="7" s="1"/>
  <c r="E19" i="1"/>
  <c r="F19" i="1"/>
  <c r="F20" i="1" s="1"/>
  <c r="E7" i="7" s="1"/>
  <c r="F10" i="1"/>
  <c r="E5" i="6" s="1"/>
  <c r="E7" i="6" s="1"/>
  <c r="E10" i="1"/>
  <c r="D5" i="6" s="1"/>
  <c r="D7" i="6" s="1"/>
  <c r="D13" i="7" s="1"/>
  <c r="D10" i="1"/>
  <c r="D8" i="2" s="1"/>
  <c r="G8" i="1"/>
  <c r="F8" i="2" l="1"/>
  <c r="F11" i="2" s="1"/>
  <c r="C5" i="6"/>
  <c r="G19" i="1"/>
  <c r="F5" i="6"/>
  <c r="F7" i="6" s="1"/>
  <c r="G18" i="1"/>
  <c r="F10" i="2"/>
  <c r="F12" i="2" s="1"/>
  <c r="C7" i="6"/>
  <c r="C13" i="7" s="1"/>
  <c r="G10" i="1"/>
  <c r="G20" i="1"/>
  <c r="E8" i="2"/>
  <c r="G8" i="2" s="1"/>
  <c r="G10" i="2" s="1"/>
  <c r="E9" i="2"/>
  <c r="E10" i="2" l="1"/>
  <c r="E11" i="2"/>
  <c r="D9" i="2"/>
  <c r="D10" i="2" s="1"/>
  <c r="D12" i="2" s="1"/>
  <c r="E5" i="5"/>
  <c r="E8" i="5" s="1"/>
  <c r="E6" i="3"/>
  <c r="E8" i="3" s="1"/>
  <c r="E12" i="2" l="1"/>
  <c r="D5" i="5" s="1"/>
  <c r="D8" i="5" s="1"/>
  <c r="D12" i="7" s="1"/>
  <c r="D6" i="3"/>
  <c r="D8" i="3" s="1"/>
  <c r="D9" i="3"/>
  <c r="E11" i="3"/>
  <c r="E10" i="3"/>
  <c r="G12" i="2"/>
  <c r="F6" i="3" s="1"/>
  <c r="F8" i="3" s="1"/>
  <c r="F10" i="3" s="1"/>
  <c r="C6" i="3"/>
  <c r="C8" i="3" s="1"/>
  <c r="C5" i="5"/>
  <c r="E12" i="3" l="1"/>
  <c r="E14" i="3" s="1"/>
  <c r="E21" i="3" s="1"/>
  <c r="C11" i="3"/>
  <c r="F11" i="3" s="1"/>
  <c r="F5" i="5"/>
  <c r="C8" i="5"/>
  <c r="D11" i="3"/>
  <c r="D10" i="3"/>
  <c r="C9" i="3"/>
  <c r="C10" i="3" s="1"/>
  <c r="C12" i="3" s="1"/>
  <c r="C14" i="3" l="1"/>
  <c r="D12" i="3"/>
  <c r="D14" i="3" s="1"/>
  <c r="F8" i="5"/>
  <c r="C12" i="7"/>
  <c r="C21" i="3" l="1"/>
  <c r="D22" i="3"/>
  <c r="F12" i="3"/>
  <c r="F14" i="3" s="1"/>
  <c r="D21" i="3"/>
  <c r="D23" i="3" s="1"/>
  <c r="D10" i="7" s="1"/>
  <c r="D16" i="7" s="1"/>
  <c r="E22" i="3"/>
  <c r="E23" i="3" s="1"/>
  <c r="E10" i="7" s="1"/>
  <c r="F22" i="3" l="1"/>
  <c r="F21" i="3"/>
  <c r="C23" i="3"/>
  <c r="F23" i="3" l="1"/>
  <c r="C10" i="7"/>
  <c r="C16" i="7" s="1"/>
  <c r="C17" i="7" s="1"/>
  <c r="C22" i="7" s="1"/>
  <c r="D6" i="7" s="1"/>
  <c r="D8" i="7" s="1"/>
  <c r="D17" i="7" s="1"/>
  <c r="D22" i="7" s="1"/>
  <c r="E6" i="7" s="1"/>
  <c r="E8" i="7" s="1"/>
</calcChain>
</file>

<file path=xl/sharedStrings.xml><?xml version="1.0" encoding="utf-8"?>
<sst xmlns="http://schemas.openxmlformats.org/spreadsheetml/2006/main" count="134" uniqueCount="93">
  <si>
    <t>Presidio Comprehensive Budget for 1st Quarter</t>
  </si>
  <si>
    <t>Sales Budget</t>
  </si>
  <si>
    <t>For Quarter Ending March 31</t>
  </si>
  <si>
    <t>Revenue Amount</t>
  </si>
  <si>
    <t>Price Per Unit</t>
  </si>
  <si>
    <t>January</t>
  </si>
  <si>
    <t>February</t>
  </si>
  <si>
    <t>March</t>
  </si>
  <si>
    <t>Qtr. Total</t>
  </si>
  <si>
    <t>Cash Collections Budget</t>
  </si>
  <si>
    <t>Cash Sales</t>
  </si>
  <si>
    <t>Credit Sales</t>
  </si>
  <si>
    <t>Total Cash Collections</t>
  </si>
  <si>
    <t>Production Budget</t>
  </si>
  <si>
    <t>Quarter Ending March 31</t>
  </si>
  <si>
    <t>Units Needed</t>
  </si>
  <si>
    <t>Plus: Desired End. Inventory</t>
  </si>
  <si>
    <t>Total Needed</t>
  </si>
  <si>
    <t>Less: Beginning Inventory</t>
  </si>
  <si>
    <t>Units to Produce</t>
  </si>
  <si>
    <t>Direct Materials Budget</t>
  </si>
  <si>
    <t>Units to be Produced (From Prod. Budget)</t>
  </si>
  <si>
    <t>Multiply by: Pounds needed per Unit</t>
  </si>
  <si>
    <t>Pounds needed for production</t>
  </si>
  <si>
    <t>Plus: Desired Ending Inv. For DM</t>
  </si>
  <si>
    <t>Total Quantity (Lbs.) Needed</t>
  </si>
  <si>
    <t>Less: Beginning Inv. DM</t>
  </si>
  <si>
    <t>Multiply by: Cost Per Pound</t>
  </si>
  <si>
    <t>Total Quantity(Lbs.) to Purchase</t>
  </si>
  <si>
    <t>Total Cost of DM Purchases</t>
  </si>
  <si>
    <t xml:space="preserve">February </t>
  </si>
  <si>
    <t>April</t>
  </si>
  <si>
    <t>Sales</t>
  </si>
  <si>
    <t>Units</t>
  </si>
  <si>
    <t>May</t>
  </si>
  <si>
    <t>May Unit</t>
  </si>
  <si>
    <t>Beg.</t>
  </si>
  <si>
    <t>Lbs for Ap</t>
  </si>
  <si>
    <t>Cash Payments for Direct Materials</t>
  </si>
  <si>
    <t>20% of Current DM Purchases</t>
  </si>
  <si>
    <t>Total Cash Payments</t>
  </si>
  <si>
    <t>80% of Previous DM Purchases</t>
  </si>
  <si>
    <t>Dec.</t>
  </si>
  <si>
    <t>Lbs.</t>
  </si>
  <si>
    <t>Jan End</t>
  </si>
  <si>
    <t>Total</t>
  </si>
  <si>
    <t>Cost</t>
  </si>
  <si>
    <t>Cash Payments for Direct Labor</t>
  </si>
  <si>
    <t>Total Cost of Direct Labor</t>
  </si>
  <si>
    <t>Cash Payments for Manufacturing Overhead</t>
  </si>
  <si>
    <t>Variable MOH Costs</t>
  </si>
  <si>
    <t>Rent (Fixed)</t>
  </si>
  <si>
    <t>Other Fixed MOH</t>
  </si>
  <si>
    <t>Total Cash Payments for MOH</t>
  </si>
  <si>
    <t>Cash Payments for Operating Expenses</t>
  </si>
  <si>
    <t>Variable Operating Expenses</t>
  </si>
  <si>
    <t>Fixed Operating Expenses</t>
  </si>
  <si>
    <t>Total Cash Pmnts. For Operating Expenses</t>
  </si>
  <si>
    <t>Number of Units Sold</t>
  </si>
  <si>
    <t>Combined Cash Budget</t>
  </si>
  <si>
    <t>Beginning Cash Balance</t>
  </si>
  <si>
    <t>Plus: Cash Collections</t>
  </si>
  <si>
    <t>Total Cash Available</t>
  </si>
  <si>
    <t>Less Cash Payments:</t>
  </si>
  <si>
    <t xml:space="preserve">       Direct Material Purchases</t>
  </si>
  <si>
    <t xml:space="preserve">       Direct Labor</t>
  </si>
  <si>
    <t xml:space="preserve">       MOH Purchases</t>
  </si>
  <si>
    <t xml:space="preserve">       Operating Expenses</t>
  </si>
  <si>
    <t xml:space="preserve">       Equipment Purchases</t>
  </si>
  <si>
    <t xml:space="preserve">       Tax Payment</t>
  </si>
  <si>
    <t>Ending Cash Balance Before Financing</t>
  </si>
  <si>
    <t>Financing:</t>
  </si>
  <si>
    <t xml:space="preserve">       Plus: Cash Borrowed</t>
  </si>
  <si>
    <t xml:space="preserve">       Less: Debt Repayments</t>
  </si>
  <si>
    <t xml:space="preserve">       Less: Interest Payments</t>
  </si>
  <si>
    <t>Ending Cash Balance</t>
  </si>
  <si>
    <t>Budgeted Manufacturing Cost per Unit</t>
  </si>
  <si>
    <t>Direct Material Cost per Unit</t>
  </si>
  <si>
    <t>Direct Labor Cost per Unit</t>
  </si>
  <si>
    <t>Variable MOH Costs per Unit</t>
  </si>
  <si>
    <t>Fixed MOH Costs per Unit</t>
  </si>
  <si>
    <t>Total Manufaturing Cost per Unit</t>
  </si>
  <si>
    <t>Budgeted Income Statement</t>
  </si>
  <si>
    <t>$25200/27450 units</t>
  </si>
  <si>
    <t>Sales Revenue</t>
  </si>
  <si>
    <t>Less: Cost of Goods Sold</t>
  </si>
  <si>
    <t>Gross Profit</t>
  </si>
  <si>
    <t>Less: Operating Expense</t>
  </si>
  <si>
    <t>Less: Deprectation Expense</t>
  </si>
  <si>
    <t>Operating Income</t>
  </si>
  <si>
    <t>Less: Interest Expense</t>
  </si>
  <si>
    <t>Less: Income Tax Expense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</si>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</sst>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5" formatCode="_(&quot;$&quot;* #,##0_);_(&quot;$&quot;* \(#,##0\);_(&quot;$&quot;* &quot;-&quot;??_);_(@_)"/>
    <numFmt numFmtId="170" formatCode="0_);\(0\)"/>
    <numFmt numFmtId="177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horizontal="center"/>
    </xf>
    <xf numFmtId="165" fontId="0" fillId="0" borderId="1" xfId="1" applyNumberFormat="1" applyFont="1" applyBorder="1"/>
    <xf numFmtId="44" fontId="0" fillId="0" borderId="0" xfId="0" applyNumberFormat="1"/>
    <xf numFmtId="1" fontId="0" fillId="0" borderId="2" xfId="0" applyNumberForma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165" fontId="0" fillId="0" borderId="0" xfId="1" applyNumberFormat="1" applyFont="1" applyBorder="1"/>
    <xf numFmtId="0" fontId="0" fillId="0" borderId="9" xfId="0" applyBorder="1"/>
    <xf numFmtId="0" fontId="0" fillId="0" borderId="10" xfId="0" applyBorder="1"/>
    <xf numFmtId="44" fontId="0" fillId="0" borderId="1" xfId="0" applyNumberFormat="1" applyBorder="1"/>
    <xf numFmtId="1" fontId="0" fillId="0" borderId="0" xfId="0" applyNumberForma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165" fontId="0" fillId="0" borderId="17" xfId="1" applyNumberFormat="1" applyFont="1" applyBorder="1"/>
    <xf numFmtId="0" fontId="0" fillId="0" borderId="18" xfId="0" applyBorder="1"/>
    <xf numFmtId="0" fontId="0" fillId="0" borderId="1" xfId="0" applyBorder="1"/>
    <xf numFmtId="0" fontId="0" fillId="0" borderId="19" xfId="0" applyBorder="1"/>
    <xf numFmtId="165" fontId="0" fillId="0" borderId="19" xfId="1" applyNumberFormat="1" applyFont="1" applyBorder="1"/>
    <xf numFmtId="1" fontId="0" fillId="0" borderId="20" xfId="0" applyNumberFormat="1" applyBorder="1"/>
    <xf numFmtId="44" fontId="0" fillId="0" borderId="0" xfId="0" applyNumberFormat="1" applyBorder="1"/>
    <xf numFmtId="165" fontId="0" fillId="0" borderId="0" xfId="0" applyNumberFormat="1" applyBorder="1"/>
    <xf numFmtId="165" fontId="0" fillId="0" borderId="17" xfId="0" applyNumberFormat="1" applyBorder="1"/>
    <xf numFmtId="165" fontId="0" fillId="0" borderId="1" xfId="0" applyNumberFormat="1" applyBorder="1"/>
    <xf numFmtId="165" fontId="0" fillId="0" borderId="19" xfId="0" applyNumberFormat="1" applyBorder="1"/>
    <xf numFmtId="165" fontId="0" fillId="0" borderId="2" xfId="0" applyNumberFormat="1" applyBorder="1"/>
    <xf numFmtId="165" fontId="0" fillId="0" borderId="20" xfId="0" applyNumberFormat="1" applyBorder="1"/>
    <xf numFmtId="165" fontId="0" fillId="0" borderId="21" xfId="0" applyNumberFormat="1" applyBorder="1"/>
    <xf numFmtId="1" fontId="0" fillId="0" borderId="1" xfId="0" applyNumberFormat="1" applyBorder="1"/>
    <xf numFmtId="44" fontId="0" fillId="0" borderId="21" xfId="0" applyNumberFormat="1" applyBorder="1"/>
    <xf numFmtId="170" fontId="0" fillId="0" borderId="21" xfId="0" applyNumberFormat="1" applyBorder="1"/>
    <xf numFmtId="170" fontId="0" fillId="0" borderId="21" xfId="1" applyNumberFormat="1" applyFont="1" applyBorder="1"/>
    <xf numFmtId="1" fontId="0" fillId="0" borderId="7" xfId="0" applyNumberFormat="1" applyBorder="1"/>
    <xf numFmtId="1" fontId="0" fillId="0" borderId="8" xfId="0" applyNumberFormat="1" applyBorder="1"/>
    <xf numFmtId="170" fontId="0" fillId="0" borderId="22" xfId="0" applyNumberFormat="1" applyBorder="1"/>
    <xf numFmtId="0" fontId="0" fillId="0" borderId="23" xfId="0" applyBorder="1"/>
    <xf numFmtId="170" fontId="0" fillId="0" borderId="1" xfId="0" applyNumberFormat="1" applyBorder="1"/>
    <xf numFmtId="6" fontId="0" fillId="0" borderId="21" xfId="0" applyNumberFormat="1" applyBorder="1"/>
    <xf numFmtId="170" fontId="0" fillId="0" borderId="0" xfId="0" applyNumberFormat="1" applyBorder="1"/>
    <xf numFmtId="6" fontId="0" fillId="0" borderId="0" xfId="0" applyNumberFormat="1" applyBorder="1"/>
    <xf numFmtId="8" fontId="0" fillId="0" borderId="0" xfId="0" applyNumberFormat="1"/>
    <xf numFmtId="177" fontId="0" fillId="0" borderId="0" xfId="0" applyNumberFormat="1"/>
    <xf numFmtId="165" fontId="0" fillId="0" borderId="7" xfId="0" applyNumberFormat="1" applyBorder="1"/>
    <xf numFmtId="165" fontId="0" fillId="0" borderId="22" xfId="0" applyNumberFormat="1" applyBorder="1"/>
    <xf numFmtId="165" fontId="0" fillId="0" borderId="10" xfId="0" applyNumberFormat="1" applyBorder="1"/>
    <xf numFmtId="165" fontId="0" fillId="0" borderId="23" xfId="0" applyNumberFormat="1" applyBorder="1"/>
    <xf numFmtId="44" fontId="0" fillId="0" borderId="7" xfId="0" applyNumberFormat="1" applyBorder="1"/>
    <xf numFmtId="44" fontId="0" fillId="0" borderId="22" xfId="0" applyNumberFormat="1" applyBorder="1"/>
    <xf numFmtId="44" fontId="0" fillId="0" borderId="10" xfId="0" applyNumberFormat="1" applyBorder="1"/>
    <xf numFmtId="44" fontId="0" fillId="0" borderId="23" xfId="0" applyNumberFormat="1" applyBorder="1"/>
    <xf numFmtId="44" fontId="0" fillId="0" borderId="8" xfId="0" applyNumberFormat="1" applyBorder="1"/>
    <xf numFmtId="44" fontId="0" fillId="0" borderId="11" xfId="0" applyNumberFormat="1" applyBorder="1"/>
    <xf numFmtId="44" fontId="0" fillId="0" borderId="12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24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4" zoomScale="115" zoomScaleNormal="115" workbookViewId="0">
      <selection activeCell="G8" sqref="G8"/>
    </sheetView>
  </sheetViews>
  <sheetFormatPr defaultRowHeight="15" x14ac:dyDescent="0.25"/>
  <cols>
    <col min="1" max="1" width="20.140625" customWidth="1"/>
    <col min="4" max="4" width="12.28515625" bestFit="1" customWidth="1"/>
    <col min="5" max="7" width="13.42578125" bestFit="1" customWidth="1"/>
  </cols>
  <sheetData>
    <row r="1" spans="1:14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4" spans="1:14" x14ac:dyDescent="0.25">
      <c r="A4" s="21" t="s">
        <v>1</v>
      </c>
      <c r="B4" s="22"/>
      <c r="C4" s="22"/>
      <c r="D4" s="22"/>
      <c r="E4" s="22"/>
      <c r="F4" s="22"/>
      <c r="G4" s="23"/>
    </row>
    <row r="5" spans="1:14" x14ac:dyDescent="0.25">
      <c r="A5" s="24" t="s">
        <v>2</v>
      </c>
      <c r="B5" s="10"/>
      <c r="C5" s="10"/>
      <c r="D5" s="10"/>
      <c r="E5" s="10"/>
      <c r="F5" s="10"/>
      <c r="G5" s="25"/>
    </row>
    <row r="6" spans="1:14" x14ac:dyDescent="0.25">
      <c r="A6" s="26"/>
      <c r="B6" s="12"/>
      <c r="C6" s="12"/>
      <c r="D6" s="12"/>
      <c r="E6" s="12"/>
      <c r="F6" s="12"/>
      <c r="G6" s="27"/>
    </row>
    <row r="7" spans="1:14" x14ac:dyDescent="0.25">
      <c r="A7" s="28"/>
      <c r="B7" s="14"/>
      <c r="C7" s="14"/>
      <c r="D7" s="14" t="s">
        <v>5</v>
      </c>
      <c r="E7" s="14" t="s">
        <v>6</v>
      </c>
      <c r="F7" s="14" t="s">
        <v>7</v>
      </c>
      <c r="G7" s="29" t="s">
        <v>8</v>
      </c>
    </row>
    <row r="8" spans="1:14" x14ac:dyDescent="0.25">
      <c r="A8" s="28" t="s">
        <v>3</v>
      </c>
      <c r="B8" s="14"/>
      <c r="C8" s="14"/>
      <c r="D8" s="16">
        <v>99600</v>
      </c>
      <c r="E8" s="16">
        <v>118800</v>
      </c>
      <c r="F8" s="16">
        <v>115200</v>
      </c>
      <c r="G8" s="30">
        <f>D8+E8+F8</f>
        <v>333600</v>
      </c>
    </row>
    <row r="9" spans="1:14" x14ac:dyDescent="0.25">
      <c r="A9" s="28" t="s">
        <v>4</v>
      </c>
      <c r="B9" s="14"/>
      <c r="C9" s="14"/>
      <c r="D9" s="2">
        <v>12</v>
      </c>
      <c r="E9" s="2">
        <v>12</v>
      </c>
      <c r="F9" s="2">
        <v>12</v>
      </c>
      <c r="G9" s="34">
        <v>12</v>
      </c>
    </row>
    <row r="10" spans="1:14" ht="15.75" thickBot="1" x14ac:dyDescent="0.3">
      <c r="A10" s="28" t="s">
        <v>58</v>
      </c>
      <c r="B10" s="14"/>
      <c r="C10" s="14"/>
      <c r="D10" s="4">
        <f>D8/D9</f>
        <v>8300</v>
      </c>
      <c r="E10" s="5">
        <f>E8/E9</f>
        <v>9900</v>
      </c>
      <c r="F10" s="5">
        <f>F8/F9</f>
        <v>9600</v>
      </c>
      <c r="G10" s="35">
        <f>D10+E10+F10</f>
        <v>27800</v>
      </c>
    </row>
    <row r="11" spans="1:14" ht="15.75" thickTop="1" x14ac:dyDescent="0.25">
      <c r="A11" s="31"/>
      <c r="B11" s="32"/>
      <c r="C11" s="32"/>
      <c r="D11" s="32"/>
      <c r="E11" s="32"/>
      <c r="F11" s="32"/>
      <c r="G11" s="33"/>
    </row>
    <row r="14" spans="1:14" x14ac:dyDescent="0.25">
      <c r="A14" s="21" t="s">
        <v>9</v>
      </c>
      <c r="B14" s="22"/>
      <c r="C14" s="22"/>
      <c r="D14" s="22"/>
      <c r="E14" s="22"/>
      <c r="F14" s="22"/>
      <c r="G14" s="23"/>
    </row>
    <row r="15" spans="1:14" x14ac:dyDescent="0.25">
      <c r="A15" s="24" t="s">
        <v>2</v>
      </c>
      <c r="B15" s="10"/>
      <c r="C15" s="10"/>
      <c r="D15" s="10"/>
      <c r="E15" s="10"/>
      <c r="F15" s="10"/>
      <c r="G15" s="25"/>
    </row>
    <row r="16" spans="1:14" x14ac:dyDescent="0.25">
      <c r="A16" s="28"/>
      <c r="B16" s="14"/>
      <c r="C16" s="14"/>
      <c r="D16" s="14"/>
      <c r="E16" s="14"/>
      <c r="F16" s="14"/>
      <c r="G16" s="29"/>
    </row>
    <row r="17" spans="1:7" x14ac:dyDescent="0.25">
      <c r="A17" s="28"/>
      <c r="B17" s="14"/>
      <c r="C17" s="14"/>
      <c r="D17" s="14" t="s">
        <v>5</v>
      </c>
      <c r="E17" s="14" t="s">
        <v>6</v>
      </c>
      <c r="F17" s="14" t="s">
        <v>7</v>
      </c>
      <c r="G17" s="29" t="s">
        <v>8</v>
      </c>
    </row>
    <row r="18" spans="1:7" x14ac:dyDescent="0.25">
      <c r="A18" s="28" t="s">
        <v>10</v>
      </c>
      <c r="B18" s="14"/>
      <c r="C18" s="14"/>
      <c r="D18" s="37">
        <f>D8*0.35</f>
        <v>34860</v>
      </c>
      <c r="E18" s="37">
        <f>E8*0.35</f>
        <v>41580</v>
      </c>
      <c r="F18" s="37">
        <f>F8*0.35</f>
        <v>40320</v>
      </c>
      <c r="G18" s="38">
        <f>D18+E18+F18</f>
        <v>116760</v>
      </c>
    </row>
    <row r="19" spans="1:7" x14ac:dyDescent="0.25">
      <c r="A19" s="28" t="s">
        <v>11</v>
      </c>
      <c r="B19" s="14"/>
      <c r="C19" s="14"/>
      <c r="D19" s="2">
        <v>46150</v>
      </c>
      <c r="E19" s="39">
        <f>D8*0.65</f>
        <v>64740</v>
      </c>
      <c r="F19" s="39">
        <f>E8*0.65</f>
        <v>77220</v>
      </c>
      <c r="G19" s="40">
        <f>D19+E19+F19</f>
        <v>188110</v>
      </c>
    </row>
    <row r="20" spans="1:7" ht="15.75" thickBot="1" x14ac:dyDescent="0.3">
      <c r="A20" s="28" t="s">
        <v>12</v>
      </c>
      <c r="B20" s="14"/>
      <c r="C20" s="14"/>
      <c r="D20" s="41">
        <f>D18+D19</f>
        <v>81010</v>
      </c>
      <c r="E20" s="41">
        <f>E18+E19</f>
        <v>106320</v>
      </c>
      <c r="F20" s="41">
        <f>F18+F19</f>
        <v>117540</v>
      </c>
      <c r="G20" s="42">
        <f>D20+E20+F20</f>
        <v>304870</v>
      </c>
    </row>
    <row r="21" spans="1:7" ht="15.75" thickTop="1" x14ac:dyDescent="0.25">
      <c r="A21" s="31"/>
      <c r="B21" s="32"/>
      <c r="C21" s="32"/>
      <c r="D21" s="32"/>
      <c r="E21" s="32"/>
      <c r="F21" s="32"/>
      <c r="G21" s="33"/>
    </row>
  </sheetData>
  <mergeCells count="5">
    <mergeCell ref="A1:N1"/>
    <mergeCell ref="A4:G4"/>
    <mergeCell ref="A5:G5"/>
    <mergeCell ref="A14:G14"/>
    <mergeCell ref="A15:G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G12" sqref="G12"/>
    </sheetView>
  </sheetViews>
  <sheetFormatPr defaultRowHeight="15" x14ac:dyDescent="0.25"/>
  <cols>
    <col min="1" max="1" width="25.7109375" customWidth="1"/>
    <col min="4" max="4" width="10.5703125" bestFit="1" customWidth="1"/>
    <col min="5" max="7" width="11.5703125" bestFit="1" customWidth="1"/>
  </cols>
  <sheetData>
    <row r="3" spans="1:7" ht="15.75" thickBot="1" x14ac:dyDescent="0.3"/>
    <row r="4" spans="1:7" x14ac:dyDescent="0.25">
      <c r="A4" s="6" t="s">
        <v>13</v>
      </c>
      <c r="B4" s="7"/>
      <c r="C4" s="7"/>
      <c r="D4" s="7"/>
      <c r="E4" s="7"/>
      <c r="F4" s="7"/>
      <c r="G4" s="8"/>
    </row>
    <row r="5" spans="1:7" x14ac:dyDescent="0.25">
      <c r="A5" s="9" t="s">
        <v>2</v>
      </c>
      <c r="B5" s="10"/>
      <c r="C5" s="10"/>
      <c r="D5" s="10"/>
      <c r="E5" s="10"/>
      <c r="F5" s="10"/>
      <c r="G5" s="11"/>
    </row>
    <row r="6" spans="1:7" x14ac:dyDescent="0.25">
      <c r="A6" s="13"/>
      <c r="B6" s="14"/>
      <c r="C6" s="14"/>
      <c r="D6" s="14"/>
      <c r="E6" s="14"/>
      <c r="F6" s="14"/>
      <c r="G6" s="15"/>
    </row>
    <row r="7" spans="1:7" x14ac:dyDescent="0.25">
      <c r="A7" s="13"/>
      <c r="B7" s="14"/>
      <c r="C7" s="14"/>
      <c r="D7" s="14" t="s">
        <v>5</v>
      </c>
      <c r="E7" s="14" t="s">
        <v>6</v>
      </c>
      <c r="F7" s="14" t="s">
        <v>7</v>
      </c>
      <c r="G7" s="15" t="s">
        <v>8</v>
      </c>
    </row>
    <row r="8" spans="1:7" x14ac:dyDescent="0.25">
      <c r="A8" s="13" t="s">
        <v>15</v>
      </c>
      <c r="B8" s="14"/>
      <c r="C8" s="14"/>
      <c r="D8" s="20">
        <f>'Sales&amp;Cash Collections'!D10</f>
        <v>8300</v>
      </c>
      <c r="E8" s="20">
        <f>'Sales&amp;Cash Collections'!E10</f>
        <v>9900</v>
      </c>
      <c r="F8" s="20">
        <f>'Sales&amp;Cash Collections'!F10</f>
        <v>9600</v>
      </c>
      <c r="G8" s="48">
        <f>D8+E8+F8</f>
        <v>27800</v>
      </c>
    </row>
    <row r="9" spans="1:7" x14ac:dyDescent="0.25">
      <c r="A9" s="13" t="s">
        <v>16</v>
      </c>
      <c r="B9" s="14"/>
      <c r="C9" s="14"/>
      <c r="D9" s="44">
        <f>E8*0.1</f>
        <v>990</v>
      </c>
      <c r="E9" s="44">
        <f>F8*0.1</f>
        <v>960</v>
      </c>
      <c r="F9" s="44">
        <f>9000*0.1</f>
        <v>900</v>
      </c>
      <c r="G9" s="49">
        <f>F9</f>
        <v>900</v>
      </c>
    </row>
    <row r="10" spans="1:7" x14ac:dyDescent="0.25">
      <c r="A10" s="13" t="s">
        <v>17</v>
      </c>
      <c r="B10" s="14"/>
      <c r="C10" s="14"/>
      <c r="D10" s="20">
        <f>D8+D9</f>
        <v>9290</v>
      </c>
      <c r="E10" s="20">
        <f>E8+E9</f>
        <v>10860</v>
      </c>
      <c r="F10" s="20">
        <f>F9+F8</f>
        <v>10500</v>
      </c>
      <c r="G10" s="48">
        <f>G8+G9</f>
        <v>28700</v>
      </c>
    </row>
    <row r="11" spans="1:7" ht="15.75" thickBot="1" x14ac:dyDescent="0.3">
      <c r="A11" s="13" t="s">
        <v>18</v>
      </c>
      <c r="B11" s="14"/>
      <c r="C11" s="14"/>
      <c r="D11" s="46">
        <v>-1250</v>
      </c>
      <c r="E11" s="47">
        <f>-E8*0.1</f>
        <v>-990</v>
      </c>
      <c r="F11" s="46">
        <f>-F8*0.1</f>
        <v>-960</v>
      </c>
      <c r="G11" s="50">
        <f>D11</f>
        <v>-1250</v>
      </c>
    </row>
    <row r="12" spans="1:7" ht="15.75" thickTop="1" x14ac:dyDescent="0.25">
      <c r="A12" s="13" t="s">
        <v>19</v>
      </c>
      <c r="B12" s="14"/>
      <c r="C12" s="14"/>
      <c r="D12" s="20">
        <f>D10+D11</f>
        <v>8040</v>
      </c>
      <c r="E12" s="20">
        <f>E11+E10</f>
        <v>9870</v>
      </c>
      <c r="F12" s="20">
        <f>F10+F11</f>
        <v>9540</v>
      </c>
      <c r="G12" s="48">
        <f>D12+E12+F12</f>
        <v>27450</v>
      </c>
    </row>
    <row r="13" spans="1:7" ht="15.75" thickBot="1" x14ac:dyDescent="0.3">
      <c r="A13" s="17"/>
      <c r="B13" s="18"/>
      <c r="C13" s="18"/>
      <c r="D13" s="18"/>
      <c r="E13" s="18"/>
      <c r="F13" s="18"/>
      <c r="G13" s="51"/>
    </row>
  </sheetData>
  <mergeCells count="2">
    <mergeCell ref="A4:G4"/>
    <mergeCell ref="A5:G5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workbookViewId="0">
      <selection activeCell="G17" sqref="G17"/>
    </sheetView>
  </sheetViews>
  <sheetFormatPr defaultRowHeight="15" x14ac:dyDescent="0.25"/>
  <cols>
    <col min="1" max="1" width="39.140625" customWidth="1"/>
    <col min="3" max="3" width="11.5703125" bestFit="1" customWidth="1"/>
    <col min="4" max="5" width="12" bestFit="1" customWidth="1"/>
    <col min="6" max="6" width="12.5703125" bestFit="1" customWidth="1"/>
    <col min="7" max="7" width="11.85546875" bestFit="1" customWidth="1"/>
  </cols>
  <sheetData>
    <row r="1" spans="1:11" ht="15.75" thickBot="1" x14ac:dyDescent="0.3"/>
    <row r="2" spans="1:11" x14ac:dyDescent="0.25">
      <c r="A2" s="6" t="s">
        <v>20</v>
      </c>
      <c r="B2" s="7"/>
      <c r="C2" s="7"/>
      <c r="D2" s="7"/>
      <c r="E2" s="7"/>
      <c r="F2" s="7"/>
      <c r="G2" s="8"/>
    </row>
    <row r="3" spans="1:11" x14ac:dyDescent="0.25">
      <c r="A3" s="9" t="s">
        <v>14</v>
      </c>
      <c r="B3" s="10"/>
      <c r="C3" s="10"/>
      <c r="D3" s="10"/>
      <c r="E3" s="10"/>
      <c r="F3" s="10"/>
      <c r="G3" s="11"/>
    </row>
    <row r="4" spans="1:11" x14ac:dyDescent="0.25">
      <c r="A4" s="13"/>
      <c r="B4" s="14"/>
      <c r="C4" s="14"/>
      <c r="D4" s="14"/>
      <c r="E4" s="14"/>
      <c r="F4" s="14"/>
      <c r="G4" s="15"/>
    </row>
    <row r="5" spans="1:11" x14ac:dyDescent="0.25">
      <c r="A5" s="13"/>
      <c r="B5" s="14"/>
      <c r="C5" s="14" t="s">
        <v>5</v>
      </c>
      <c r="D5" s="14" t="s">
        <v>30</v>
      </c>
      <c r="E5" s="14" t="s">
        <v>7</v>
      </c>
      <c r="F5" s="14" t="s">
        <v>8</v>
      </c>
      <c r="G5" s="15"/>
      <c r="J5" t="s">
        <v>31</v>
      </c>
      <c r="K5" t="s">
        <v>34</v>
      </c>
    </row>
    <row r="6" spans="1:11" x14ac:dyDescent="0.25">
      <c r="A6" s="13" t="s">
        <v>21</v>
      </c>
      <c r="B6" s="14"/>
      <c r="C6" s="20">
        <f>Production!D12</f>
        <v>8040</v>
      </c>
      <c r="D6" s="20">
        <f>Production!E12</f>
        <v>9870</v>
      </c>
      <c r="E6" s="20">
        <f>Production!F12</f>
        <v>9540</v>
      </c>
      <c r="F6" s="20">
        <f>Production!G12</f>
        <v>27450</v>
      </c>
      <c r="G6" s="15"/>
    </row>
    <row r="7" spans="1:11" x14ac:dyDescent="0.25">
      <c r="A7" s="13" t="s">
        <v>22</v>
      </c>
      <c r="B7" s="14"/>
      <c r="C7" s="32">
        <v>3</v>
      </c>
      <c r="D7" s="32">
        <v>3</v>
      </c>
      <c r="E7" s="32">
        <v>3</v>
      </c>
      <c r="F7" s="32">
        <v>3</v>
      </c>
      <c r="G7" s="15"/>
      <c r="I7" t="s">
        <v>32</v>
      </c>
      <c r="J7">
        <v>108000</v>
      </c>
      <c r="K7">
        <v>103200</v>
      </c>
    </row>
    <row r="8" spans="1:11" x14ac:dyDescent="0.25">
      <c r="A8" s="13" t="s">
        <v>23</v>
      </c>
      <c r="B8" s="14"/>
      <c r="C8" s="14">
        <f>C6*C7</f>
        <v>24120</v>
      </c>
      <c r="D8" s="14">
        <f>D6*D7</f>
        <v>29610</v>
      </c>
      <c r="E8" s="14">
        <f>E6*E7</f>
        <v>28620</v>
      </c>
      <c r="F8" s="14">
        <f>F6*F7</f>
        <v>82350</v>
      </c>
      <c r="G8" s="15"/>
      <c r="I8" t="s">
        <v>33</v>
      </c>
      <c r="J8">
        <f>J7/12</f>
        <v>9000</v>
      </c>
      <c r="K8">
        <f>K7/12</f>
        <v>8600</v>
      </c>
    </row>
    <row r="9" spans="1:11" x14ac:dyDescent="0.25">
      <c r="A9" s="13" t="s">
        <v>24</v>
      </c>
      <c r="B9" s="14"/>
      <c r="C9" s="32">
        <f>D8*0.2</f>
        <v>5922</v>
      </c>
      <c r="D9" s="32">
        <f>E8*0.2</f>
        <v>5724</v>
      </c>
      <c r="E9" s="32">
        <f>26880*0.2</f>
        <v>5376</v>
      </c>
      <c r="F9" s="32">
        <v>5376</v>
      </c>
      <c r="G9" s="15"/>
      <c r="I9" t="s">
        <v>35</v>
      </c>
      <c r="J9">
        <v>860</v>
      </c>
    </row>
    <row r="10" spans="1:11" x14ac:dyDescent="0.25">
      <c r="A10" s="13" t="s">
        <v>25</v>
      </c>
      <c r="B10" s="14"/>
      <c r="C10" s="14">
        <f>C8+C9</f>
        <v>30042</v>
      </c>
      <c r="D10" s="14">
        <f>D8+D9</f>
        <v>35334</v>
      </c>
      <c r="E10" s="14">
        <f>E8+E9</f>
        <v>33996</v>
      </c>
      <c r="F10" s="14">
        <f>F8+F9</f>
        <v>87726</v>
      </c>
      <c r="G10" s="15"/>
      <c r="J10">
        <v>9860</v>
      </c>
    </row>
    <row r="11" spans="1:11" x14ac:dyDescent="0.25">
      <c r="A11" s="13" t="s">
        <v>26</v>
      </c>
      <c r="B11" s="14"/>
      <c r="C11" s="52">
        <f>-C8*0.2</f>
        <v>-4824</v>
      </c>
      <c r="D11" s="52">
        <f>-D8*0.2</f>
        <v>-5922</v>
      </c>
      <c r="E11" s="52">
        <f>-E8*0.2</f>
        <v>-5724</v>
      </c>
      <c r="F11" s="52">
        <f>C11</f>
        <v>-4824</v>
      </c>
      <c r="G11" s="15"/>
      <c r="I11" t="s">
        <v>36</v>
      </c>
      <c r="J11">
        <v>900</v>
      </c>
    </row>
    <row r="12" spans="1:11" x14ac:dyDescent="0.25">
      <c r="A12" s="13" t="s">
        <v>28</v>
      </c>
      <c r="B12" s="14"/>
      <c r="C12" s="54">
        <f>C10+C11</f>
        <v>25218</v>
      </c>
      <c r="D12" s="54">
        <f>D10+D11</f>
        <v>29412</v>
      </c>
      <c r="E12" s="54">
        <f>E10+E11</f>
        <v>28272</v>
      </c>
      <c r="F12" s="54">
        <f>C12+D12+E12</f>
        <v>82902</v>
      </c>
      <c r="G12" s="15"/>
      <c r="J12">
        <f>J10-J11</f>
        <v>8960</v>
      </c>
    </row>
    <row r="13" spans="1:11" ht="15.75" thickBot="1" x14ac:dyDescent="0.3">
      <c r="A13" s="13" t="s">
        <v>27</v>
      </c>
      <c r="B13" s="55"/>
      <c r="C13" s="53">
        <v>2</v>
      </c>
      <c r="D13" s="53">
        <v>2</v>
      </c>
      <c r="E13" s="53">
        <v>2</v>
      </c>
      <c r="F13" s="53">
        <v>2</v>
      </c>
      <c r="G13" s="15"/>
      <c r="I13" t="s">
        <v>37</v>
      </c>
      <c r="J13">
        <f>J12*3</f>
        <v>26880</v>
      </c>
    </row>
    <row r="14" spans="1:11" ht="16.5" thickTop="1" thickBot="1" x14ac:dyDescent="0.3">
      <c r="A14" s="17" t="s">
        <v>29</v>
      </c>
      <c r="B14" s="18"/>
      <c r="C14" s="60">
        <f>C12*C13</f>
        <v>50436</v>
      </c>
      <c r="D14" s="60">
        <f>D12*D13</f>
        <v>58824</v>
      </c>
      <c r="E14" s="60">
        <f>E12*E13</f>
        <v>56544</v>
      </c>
      <c r="F14" s="60">
        <f>F12*F13</f>
        <v>165804</v>
      </c>
      <c r="G14" s="51"/>
    </row>
    <row r="16" spans="1:11" ht="15.75" thickBot="1" x14ac:dyDescent="0.3"/>
    <row r="17" spans="1:12" x14ac:dyDescent="0.25">
      <c r="A17" s="6" t="s">
        <v>38</v>
      </c>
      <c r="B17" s="7"/>
      <c r="C17" s="7"/>
      <c r="D17" s="7"/>
      <c r="E17" s="7"/>
      <c r="F17" s="8"/>
      <c r="K17" t="s">
        <v>42</v>
      </c>
      <c r="L17">
        <v>71000</v>
      </c>
    </row>
    <row r="18" spans="1:12" x14ac:dyDescent="0.25">
      <c r="A18" s="9" t="s">
        <v>14</v>
      </c>
      <c r="B18" s="10"/>
      <c r="C18" s="10"/>
      <c r="D18" s="10"/>
      <c r="E18" s="10"/>
      <c r="F18" s="11"/>
      <c r="K18" t="s">
        <v>33</v>
      </c>
      <c r="L18">
        <f>L17/12</f>
        <v>5916.666666666667</v>
      </c>
    </row>
    <row r="19" spans="1:12" x14ac:dyDescent="0.25">
      <c r="A19" s="13"/>
      <c r="B19" s="14"/>
      <c r="C19" s="14"/>
      <c r="D19" s="14"/>
      <c r="E19" s="14"/>
      <c r="F19" s="15"/>
      <c r="K19" t="s">
        <v>43</v>
      </c>
      <c r="L19">
        <f>L18*3</f>
        <v>17750</v>
      </c>
    </row>
    <row r="20" spans="1:12" x14ac:dyDescent="0.25">
      <c r="A20" s="13"/>
      <c r="B20" s="14"/>
      <c r="C20" s="14" t="s">
        <v>5</v>
      </c>
      <c r="D20" s="14" t="s">
        <v>6</v>
      </c>
      <c r="E20" s="14" t="s">
        <v>7</v>
      </c>
      <c r="F20" s="15" t="s">
        <v>8</v>
      </c>
      <c r="K20" t="s">
        <v>44</v>
      </c>
      <c r="L20">
        <v>5076</v>
      </c>
    </row>
    <row r="21" spans="1:12" x14ac:dyDescent="0.25">
      <c r="A21" s="13" t="s">
        <v>39</v>
      </c>
      <c r="B21" s="14"/>
      <c r="C21" s="36">
        <f>C14*0.2</f>
        <v>10087.200000000001</v>
      </c>
      <c r="D21" s="36">
        <f>D14*0.2</f>
        <v>11764.800000000001</v>
      </c>
      <c r="E21" s="36">
        <f>E14*0.2</f>
        <v>11308.800000000001</v>
      </c>
      <c r="F21" s="62">
        <f>C21+D21+E21</f>
        <v>33160.800000000003</v>
      </c>
      <c r="K21" t="s">
        <v>45</v>
      </c>
      <c r="L21">
        <f>L19+L20</f>
        <v>22826</v>
      </c>
    </row>
    <row r="22" spans="1:12" ht="15.75" thickBot="1" x14ac:dyDescent="0.3">
      <c r="A22" s="13" t="s">
        <v>41</v>
      </c>
      <c r="B22" s="14"/>
      <c r="C22" s="45">
        <f>36521.6*0.8</f>
        <v>29217.279999999999</v>
      </c>
      <c r="D22" s="45">
        <f>C14*0.8</f>
        <v>40348.800000000003</v>
      </c>
      <c r="E22" s="45">
        <f>D14*0.8</f>
        <v>47059.200000000004</v>
      </c>
      <c r="F22" s="63">
        <f>C22+D22+E22</f>
        <v>116625.28</v>
      </c>
      <c r="G22" s="56"/>
      <c r="K22" t="s">
        <v>46</v>
      </c>
      <c r="L22">
        <f>L21*2</f>
        <v>45652</v>
      </c>
    </row>
    <row r="23" spans="1:12" ht="16.5" thickTop="1" thickBot="1" x14ac:dyDescent="0.3">
      <c r="A23" s="17" t="s">
        <v>40</v>
      </c>
      <c r="B23" s="18"/>
      <c r="C23" s="64">
        <f>C21+C22</f>
        <v>39304.479999999996</v>
      </c>
      <c r="D23" s="64">
        <f>D21+D22</f>
        <v>52113.600000000006</v>
      </c>
      <c r="E23" s="64">
        <f>E21+E22</f>
        <v>58368.000000000007</v>
      </c>
      <c r="F23" s="65">
        <f>C23+D23+E23</f>
        <v>149786.08000000002</v>
      </c>
      <c r="K23">
        <v>0.8</v>
      </c>
      <c r="L23">
        <f>L22*0.8</f>
        <v>36521.599999999999</v>
      </c>
    </row>
  </sheetData>
  <mergeCells count="4">
    <mergeCell ref="A2:G2"/>
    <mergeCell ref="A17:F17"/>
    <mergeCell ref="A18:F18"/>
    <mergeCell ref="A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E17" sqref="E17"/>
    </sheetView>
  </sheetViews>
  <sheetFormatPr defaultRowHeight="15" x14ac:dyDescent="0.25"/>
  <cols>
    <col min="1" max="1" width="24.85546875" customWidth="1"/>
    <col min="3" max="5" width="10.5703125" bestFit="1" customWidth="1"/>
    <col min="6" max="6" width="11.5703125" bestFit="1" customWidth="1"/>
  </cols>
  <sheetData>
    <row r="1" spans="1:10" x14ac:dyDescent="0.25">
      <c r="A1" s="6" t="s">
        <v>47</v>
      </c>
      <c r="B1" s="7"/>
      <c r="C1" s="7"/>
      <c r="D1" s="7"/>
      <c r="E1" s="7"/>
      <c r="F1" s="8"/>
    </row>
    <row r="2" spans="1:10" x14ac:dyDescent="0.25">
      <c r="A2" s="9" t="s">
        <v>14</v>
      </c>
      <c r="B2" s="10"/>
      <c r="C2" s="10"/>
      <c r="D2" s="10"/>
      <c r="E2" s="10"/>
      <c r="F2" s="11"/>
    </row>
    <row r="3" spans="1:10" x14ac:dyDescent="0.25">
      <c r="A3" s="13"/>
      <c r="B3" s="14"/>
      <c r="C3" s="14"/>
      <c r="D3" s="14"/>
      <c r="E3" s="14"/>
      <c r="F3" s="15"/>
    </row>
    <row r="4" spans="1:10" x14ac:dyDescent="0.25">
      <c r="A4" s="13"/>
      <c r="B4" s="14"/>
      <c r="C4" s="14" t="s">
        <v>5</v>
      </c>
      <c r="D4" s="14" t="s">
        <v>6</v>
      </c>
      <c r="E4" s="14" t="s">
        <v>7</v>
      </c>
      <c r="F4" s="15" t="s">
        <v>8</v>
      </c>
    </row>
    <row r="5" spans="1:10" ht="15.75" thickBot="1" x14ac:dyDescent="0.3">
      <c r="A5" s="17" t="s">
        <v>48</v>
      </c>
      <c r="B5" s="18"/>
      <c r="C5" s="60">
        <v>3807</v>
      </c>
      <c r="D5" s="60">
        <v>4442</v>
      </c>
      <c r="E5" s="60">
        <v>4293</v>
      </c>
      <c r="F5" s="61">
        <f>C5+D5+E5</f>
        <v>12542</v>
      </c>
      <c r="J5">
        <f>8300*0.05</f>
        <v>415</v>
      </c>
    </row>
    <row r="6" spans="1:10" x14ac:dyDescent="0.25">
      <c r="J6">
        <f>J5*9</f>
        <v>3735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9" sqref="H9"/>
    </sheetView>
  </sheetViews>
  <sheetFormatPr defaultRowHeight="15" x14ac:dyDescent="0.25"/>
  <cols>
    <col min="1" max="1" width="27.28515625" customWidth="1"/>
    <col min="3" max="6" width="11.5703125" bestFit="1" customWidth="1"/>
  </cols>
  <sheetData>
    <row r="1" spans="1:8" x14ac:dyDescent="0.25">
      <c r="A1" s="6" t="s">
        <v>49</v>
      </c>
      <c r="B1" s="7"/>
      <c r="C1" s="7"/>
      <c r="D1" s="7"/>
      <c r="E1" s="7"/>
      <c r="F1" s="8"/>
    </row>
    <row r="2" spans="1:8" x14ac:dyDescent="0.25">
      <c r="A2" s="9" t="s">
        <v>14</v>
      </c>
      <c r="B2" s="10"/>
      <c r="C2" s="10"/>
      <c r="D2" s="10"/>
      <c r="E2" s="10"/>
      <c r="F2" s="11"/>
    </row>
    <row r="3" spans="1:8" x14ac:dyDescent="0.25">
      <c r="A3" s="13"/>
      <c r="B3" s="14"/>
      <c r="C3" s="14"/>
      <c r="D3" s="14"/>
      <c r="E3" s="14"/>
      <c r="F3" s="15"/>
    </row>
    <row r="4" spans="1:8" x14ac:dyDescent="0.25">
      <c r="A4" s="13"/>
      <c r="B4" s="14"/>
      <c r="C4" s="14" t="s">
        <v>5</v>
      </c>
      <c r="D4" s="14" t="s">
        <v>6</v>
      </c>
      <c r="E4" s="14" t="s">
        <v>7</v>
      </c>
      <c r="F4" s="15" t="s">
        <v>8</v>
      </c>
    </row>
    <row r="5" spans="1:8" x14ac:dyDescent="0.25">
      <c r="A5" s="13" t="s">
        <v>50</v>
      </c>
      <c r="B5" s="14"/>
      <c r="C5" s="37">
        <f>1.1*Production!D12</f>
        <v>8844</v>
      </c>
      <c r="D5" s="37">
        <f>1.1*Production!E12</f>
        <v>10857</v>
      </c>
      <c r="E5" s="37">
        <f>1.1*Production!F12</f>
        <v>10494</v>
      </c>
      <c r="F5" s="58">
        <f>C5+D5+E5</f>
        <v>30195</v>
      </c>
    </row>
    <row r="6" spans="1:8" x14ac:dyDescent="0.25">
      <c r="A6" s="13" t="s">
        <v>51</v>
      </c>
      <c r="B6" s="14"/>
      <c r="C6" s="37">
        <v>5500</v>
      </c>
      <c r="D6" s="37">
        <v>5500</v>
      </c>
      <c r="E6" s="37">
        <v>5500</v>
      </c>
      <c r="F6" s="58">
        <f>C6+D6+E6</f>
        <v>16500</v>
      </c>
    </row>
    <row r="7" spans="1:8" ht="15.75" thickBot="1" x14ac:dyDescent="0.3">
      <c r="A7" s="13" t="s">
        <v>52</v>
      </c>
      <c r="B7" s="14"/>
      <c r="C7" s="43">
        <v>2900</v>
      </c>
      <c r="D7" s="43">
        <v>2900</v>
      </c>
      <c r="E7" s="43">
        <v>2900</v>
      </c>
      <c r="F7" s="59">
        <f>C7+D7+E7</f>
        <v>8700</v>
      </c>
    </row>
    <row r="8" spans="1:8" ht="16.5" thickTop="1" thickBot="1" x14ac:dyDescent="0.3">
      <c r="A8" s="17" t="s">
        <v>53</v>
      </c>
      <c r="B8" s="18"/>
      <c r="C8" s="60">
        <f>C5+C6+C7</f>
        <v>17244</v>
      </c>
      <c r="D8" s="60">
        <f>D5+D6+D7</f>
        <v>19257</v>
      </c>
      <c r="E8" s="60">
        <f>E5+E6+E7</f>
        <v>18894</v>
      </c>
      <c r="F8" s="61">
        <f>C8+D8+E8</f>
        <v>55395</v>
      </c>
      <c r="H8">
        <f>16500+8700</f>
        <v>25200</v>
      </c>
    </row>
    <row r="9" spans="1:8" x14ac:dyDescent="0.25">
      <c r="H9">
        <v>27450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C19" sqref="C19"/>
    </sheetView>
  </sheetViews>
  <sheetFormatPr defaultRowHeight="15" x14ac:dyDescent="0.25"/>
  <cols>
    <col min="1" max="1" width="37.5703125" customWidth="1"/>
    <col min="3" max="6" width="11.5703125" bestFit="1" customWidth="1"/>
  </cols>
  <sheetData>
    <row r="1" spans="1:7" x14ac:dyDescent="0.25">
      <c r="A1" s="6" t="s">
        <v>54</v>
      </c>
      <c r="B1" s="7"/>
      <c r="C1" s="7"/>
      <c r="D1" s="7"/>
      <c r="E1" s="7"/>
      <c r="F1" s="8"/>
    </row>
    <row r="2" spans="1:7" x14ac:dyDescent="0.25">
      <c r="A2" s="9" t="s">
        <v>14</v>
      </c>
      <c r="B2" s="10"/>
      <c r="C2" s="10"/>
      <c r="D2" s="10"/>
      <c r="E2" s="10"/>
      <c r="F2" s="11"/>
    </row>
    <row r="3" spans="1:7" x14ac:dyDescent="0.25">
      <c r="A3" s="13"/>
      <c r="B3" s="14"/>
      <c r="C3" s="14"/>
      <c r="D3" s="14"/>
      <c r="E3" s="14"/>
      <c r="F3" s="15"/>
    </row>
    <row r="4" spans="1:7" x14ac:dyDescent="0.25">
      <c r="A4" s="13"/>
      <c r="B4" s="14"/>
      <c r="C4" s="14" t="s">
        <v>5</v>
      </c>
      <c r="D4" s="14" t="s">
        <v>6</v>
      </c>
      <c r="E4" s="14" t="s">
        <v>7</v>
      </c>
      <c r="F4" s="15" t="s">
        <v>8</v>
      </c>
    </row>
    <row r="5" spans="1:7" x14ac:dyDescent="0.25">
      <c r="A5" s="13" t="s">
        <v>55</v>
      </c>
      <c r="B5" s="14"/>
      <c r="C5" s="37">
        <f>1.25*'Sales&amp;Cash Collections'!D10</f>
        <v>10375</v>
      </c>
      <c r="D5" s="37">
        <f>1.25*'Sales&amp;Cash Collections'!E10</f>
        <v>12375</v>
      </c>
      <c r="E5" s="37">
        <f>1.25*'Sales&amp;Cash Collections'!F10</f>
        <v>12000</v>
      </c>
      <c r="F5" s="58">
        <f>C5+D5+E5</f>
        <v>34750</v>
      </c>
    </row>
    <row r="6" spans="1:7" ht="15.75" thickBot="1" x14ac:dyDescent="0.3">
      <c r="A6" s="13" t="s">
        <v>56</v>
      </c>
      <c r="B6" s="14"/>
      <c r="C6" s="43">
        <v>1800</v>
      </c>
      <c r="D6" s="43">
        <v>1800</v>
      </c>
      <c r="E6" s="43">
        <v>1800</v>
      </c>
      <c r="F6" s="59">
        <f>C6+D6+E6</f>
        <v>5400</v>
      </c>
      <c r="G6" s="57"/>
    </row>
    <row r="7" spans="1:7" ht="16.5" thickTop="1" thickBot="1" x14ac:dyDescent="0.3">
      <c r="A7" s="17" t="s">
        <v>57</v>
      </c>
      <c r="B7" s="18"/>
      <c r="C7" s="60">
        <f>C5+C6</f>
        <v>12175</v>
      </c>
      <c r="D7" s="60">
        <f>D5+D6</f>
        <v>14175</v>
      </c>
      <c r="E7" s="60">
        <f>E5+E6</f>
        <v>13800</v>
      </c>
      <c r="F7" s="61">
        <f>F5+F6</f>
        <v>40150</v>
      </c>
    </row>
  </sheetData>
  <mergeCells count="2">
    <mergeCell ref="A1:F1"/>
    <mergeCell ref="A2:F2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C11" sqref="C11"/>
    </sheetView>
  </sheetViews>
  <sheetFormatPr defaultRowHeight="15" x14ac:dyDescent="0.25"/>
  <cols>
    <col min="1" max="1" width="34.85546875" customWidth="1"/>
    <col min="3" max="3" width="11.5703125" bestFit="1" customWidth="1"/>
    <col min="4" max="6" width="12.5703125" bestFit="1" customWidth="1"/>
    <col min="8" max="8" width="12.5703125" bestFit="1" customWidth="1"/>
  </cols>
  <sheetData>
    <row r="1" spans="1:8" x14ac:dyDescent="0.25">
      <c r="A1" s="6" t="s">
        <v>59</v>
      </c>
      <c r="B1" s="7"/>
      <c r="C1" s="7"/>
      <c r="D1" s="7"/>
      <c r="E1" s="7"/>
      <c r="F1" s="8"/>
    </row>
    <row r="2" spans="1:8" x14ac:dyDescent="0.25">
      <c r="A2" s="9" t="s">
        <v>2</v>
      </c>
      <c r="B2" s="10"/>
      <c r="C2" s="10"/>
      <c r="D2" s="10"/>
      <c r="E2" s="10"/>
      <c r="F2" s="11"/>
    </row>
    <row r="3" spans="1:8" x14ac:dyDescent="0.25">
      <c r="A3" s="13"/>
      <c r="B3" s="14"/>
      <c r="C3" s="14"/>
      <c r="D3" s="14"/>
      <c r="E3" s="14"/>
      <c r="F3" s="15"/>
    </row>
    <row r="4" spans="1:8" x14ac:dyDescent="0.25">
      <c r="A4" s="13"/>
      <c r="B4" s="14"/>
      <c r="C4" s="14" t="s">
        <v>5</v>
      </c>
      <c r="D4" s="14" t="s">
        <v>6</v>
      </c>
      <c r="E4" s="14" t="s">
        <v>7</v>
      </c>
      <c r="F4" s="15" t="s">
        <v>8</v>
      </c>
    </row>
    <row r="5" spans="1:8" x14ac:dyDescent="0.25">
      <c r="A5" s="13"/>
      <c r="B5" s="14"/>
      <c r="C5" s="14"/>
      <c r="D5" s="14"/>
      <c r="E5" s="14"/>
      <c r="F5" s="15"/>
    </row>
    <row r="6" spans="1:8" x14ac:dyDescent="0.25">
      <c r="A6" s="13" t="s">
        <v>60</v>
      </c>
      <c r="B6" s="14"/>
      <c r="C6" s="36">
        <v>4600</v>
      </c>
      <c r="D6" s="36">
        <f>C22</f>
        <v>8079.5200000000041</v>
      </c>
      <c r="E6" s="36">
        <f>D22</f>
        <v>4211.9199999999983</v>
      </c>
      <c r="F6" s="62">
        <f>C6</f>
        <v>4600</v>
      </c>
    </row>
    <row r="7" spans="1:8" x14ac:dyDescent="0.25">
      <c r="A7" s="13" t="s">
        <v>61</v>
      </c>
      <c r="B7" s="14"/>
      <c r="C7" s="19">
        <f>'Sales&amp;Cash Collections'!D20</f>
        <v>81010</v>
      </c>
      <c r="D7" s="19">
        <f>'Sales&amp;Cash Collections'!E20</f>
        <v>106320</v>
      </c>
      <c r="E7" s="19">
        <f>'Sales&amp;Cash Collections'!F20</f>
        <v>117540</v>
      </c>
      <c r="F7" s="66">
        <f>C7+D7+E7</f>
        <v>304870</v>
      </c>
    </row>
    <row r="8" spans="1:8" x14ac:dyDescent="0.25">
      <c r="A8" s="13" t="s">
        <v>62</v>
      </c>
      <c r="B8" s="14"/>
      <c r="C8" s="36">
        <f>C6+C7</f>
        <v>85610</v>
      </c>
      <c r="D8" s="36">
        <f>D6+D7</f>
        <v>114399.52</v>
      </c>
      <c r="E8" s="36">
        <f>E6+E7</f>
        <v>121751.92</v>
      </c>
      <c r="F8" s="62">
        <f>F7+F6</f>
        <v>309470</v>
      </c>
      <c r="H8" s="3"/>
    </row>
    <row r="9" spans="1:8" x14ac:dyDescent="0.25">
      <c r="A9" s="13" t="s">
        <v>63</v>
      </c>
      <c r="B9" s="14"/>
      <c r="C9" s="14"/>
      <c r="D9" s="14"/>
      <c r="E9" s="14"/>
      <c r="F9" s="15"/>
    </row>
    <row r="10" spans="1:8" x14ac:dyDescent="0.25">
      <c r="A10" s="13" t="s">
        <v>64</v>
      </c>
      <c r="B10" s="14"/>
      <c r="C10" s="36">
        <f>'Direct Materials+Cash Pmnt'!C23</f>
        <v>39304.479999999996</v>
      </c>
      <c r="D10" s="36">
        <f>'Direct Materials+Cash Pmnt'!D23</f>
        <v>52113.600000000006</v>
      </c>
      <c r="E10" s="36">
        <f>'Direct Materials+Cash Pmnt'!E23</f>
        <v>58368.000000000007</v>
      </c>
      <c r="F10" s="62">
        <f>C10+D10+E10</f>
        <v>149786.08000000002</v>
      </c>
    </row>
    <row r="11" spans="1:8" x14ac:dyDescent="0.25">
      <c r="A11" s="13" t="s">
        <v>65</v>
      </c>
      <c r="B11" s="14"/>
      <c r="C11" s="36">
        <f>'Direct Labor Pmnt'!C5</f>
        <v>3807</v>
      </c>
      <c r="D11" s="36">
        <f>'Direct Labor Pmnt'!D5</f>
        <v>4442</v>
      </c>
      <c r="E11" s="36">
        <f>'Direct Labor Pmnt'!E5</f>
        <v>4293</v>
      </c>
      <c r="F11" s="62">
        <f>C11+D11+E11</f>
        <v>12542</v>
      </c>
    </row>
    <row r="12" spans="1:8" x14ac:dyDescent="0.25">
      <c r="A12" s="13" t="s">
        <v>66</v>
      </c>
      <c r="B12" s="14"/>
      <c r="C12" s="36">
        <f>'MOH Budget'!C8</f>
        <v>17244</v>
      </c>
      <c r="D12" s="36">
        <f>'MOH Budget'!D8</f>
        <v>19257</v>
      </c>
      <c r="E12" s="36">
        <f>'MOH Budget'!E8</f>
        <v>18894</v>
      </c>
      <c r="F12" s="62">
        <f>C12+D12+E12</f>
        <v>55395</v>
      </c>
    </row>
    <row r="13" spans="1:8" x14ac:dyDescent="0.25">
      <c r="A13" s="13" t="s">
        <v>67</v>
      </c>
      <c r="B13" s="14"/>
      <c r="C13" s="36">
        <f>'Operating Expenses'!C7</f>
        <v>12175</v>
      </c>
      <c r="D13" s="36">
        <f>'Operating Expenses'!D7</f>
        <v>14175</v>
      </c>
      <c r="E13" s="36">
        <f>'Operating Expenses'!E7</f>
        <v>13800</v>
      </c>
      <c r="F13" s="62">
        <f>C13+D13+E13</f>
        <v>40150</v>
      </c>
    </row>
    <row r="14" spans="1:8" x14ac:dyDescent="0.25">
      <c r="A14" s="13" t="s">
        <v>69</v>
      </c>
      <c r="B14" s="14"/>
      <c r="C14" s="36">
        <v>0</v>
      </c>
      <c r="D14" s="36">
        <v>10000</v>
      </c>
      <c r="E14" s="36">
        <v>0</v>
      </c>
      <c r="F14" s="62">
        <f>C14+D14+E14</f>
        <v>10000</v>
      </c>
    </row>
    <row r="15" spans="1:8" x14ac:dyDescent="0.25">
      <c r="A15" s="13" t="s">
        <v>68</v>
      </c>
      <c r="B15" s="14"/>
      <c r="C15" s="19">
        <v>5000</v>
      </c>
      <c r="D15" s="19">
        <v>12200</v>
      </c>
      <c r="E15" s="19">
        <v>16600</v>
      </c>
      <c r="F15" s="66">
        <f>C15+D15+E15</f>
        <v>33800</v>
      </c>
    </row>
    <row r="16" spans="1:8" x14ac:dyDescent="0.25">
      <c r="A16" s="13" t="s">
        <v>40</v>
      </c>
      <c r="B16" s="14"/>
      <c r="C16" s="36">
        <f>SUM(C10:C15)</f>
        <v>77530.48</v>
      </c>
      <c r="D16" s="36">
        <f>SUM(D10:D15)</f>
        <v>112187.6</v>
      </c>
      <c r="E16" s="36">
        <f>SUM(E10:E15)</f>
        <v>111955</v>
      </c>
      <c r="F16" s="62">
        <f>SUM(F10:F15)</f>
        <v>301673.08</v>
      </c>
    </row>
    <row r="17" spans="1:6" x14ac:dyDescent="0.25">
      <c r="A17" s="13" t="s">
        <v>70</v>
      </c>
      <c r="B17" s="14"/>
      <c r="C17" s="36">
        <f>C8-C16</f>
        <v>8079.5200000000041</v>
      </c>
      <c r="D17" s="36">
        <f>D8-D16</f>
        <v>2211.9199999999983</v>
      </c>
      <c r="E17" s="36">
        <f>E8-E16</f>
        <v>9796.9199999999983</v>
      </c>
      <c r="F17" s="62">
        <f>F8-F16</f>
        <v>7796.9199999999837</v>
      </c>
    </row>
    <row r="18" spans="1:6" x14ac:dyDescent="0.25">
      <c r="A18" s="13" t="s">
        <v>71</v>
      </c>
      <c r="B18" s="14"/>
      <c r="C18" s="14"/>
      <c r="D18" s="14"/>
      <c r="E18" s="14"/>
      <c r="F18" s="15"/>
    </row>
    <row r="19" spans="1:6" x14ac:dyDescent="0.25">
      <c r="A19" s="13" t="s">
        <v>72</v>
      </c>
      <c r="B19" s="14"/>
      <c r="C19" s="36">
        <v>0</v>
      </c>
      <c r="D19" s="36">
        <v>2000</v>
      </c>
      <c r="E19" s="36">
        <v>0</v>
      </c>
      <c r="F19" s="62">
        <f>C19+D19+E19</f>
        <v>2000</v>
      </c>
    </row>
    <row r="20" spans="1:6" x14ac:dyDescent="0.25">
      <c r="A20" s="13" t="s">
        <v>73</v>
      </c>
      <c r="B20" s="14"/>
      <c r="C20" s="36">
        <v>0</v>
      </c>
      <c r="D20" s="36">
        <v>0</v>
      </c>
      <c r="E20" s="36">
        <v>2000</v>
      </c>
      <c r="F20" s="62">
        <f>C20+D20+E20</f>
        <v>2000</v>
      </c>
    </row>
    <row r="21" spans="1:6" x14ac:dyDescent="0.25">
      <c r="A21" s="13" t="s">
        <v>74</v>
      </c>
      <c r="B21" s="14"/>
      <c r="C21" s="19">
        <v>0</v>
      </c>
      <c r="D21" s="19">
        <v>0</v>
      </c>
      <c r="E21" s="19">
        <v>40</v>
      </c>
      <c r="F21" s="66">
        <f>C21+D21+E21</f>
        <v>40</v>
      </c>
    </row>
    <row r="22" spans="1:6" ht="15.75" thickBot="1" x14ac:dyDescent="0.3">
      <c r="A22" s="17" t="s">
        <v>75</v>
      </c>
      <c r="B22" s="18"/>
      <c r="C22" s="67">
        <f>C17+C19</f>
        <v>8079.5200000000041</v>
      </c>
      <c r="D22" s="67">
        <f>D17+D19</f>
        <v>4211.9199999999983</v>
      </c>
      <c r="E22" s="67">
        <f>E17-E20-E21</f>
        <v>7756.9199999999983</v>
      </c>
      <c r="F22" s="68">
        <f>F17+F19-F20-F21</f>
        <v>7756.9199999999837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9" sqref="A9"/>
    </sheetView>
  </sheetViews>
  <sheetFormatPr defaultRowHeight="15" x14ac:dyDescent="0.25"/>
  <cols>
    <col min="1" max="1" width="30" customWidth="1"/>
    <col min="2" max="2" width="18.85546875" customWidth="1"/>
  </cols>
  <sheetData>
    <row r="1" spans="1:3" x14ac:dyDescent="0.25">
      <c r="A1" s="69" t="s">
        <v>76</v>
      </c>
      <c r="B1" s="70"/>
      <c r="C1" s="71"/>
    </row>
    <row r="2" spans="1:3" x14ac:dyDescent="0.25">
      <c r="A2" s="13"/>
      <c r="B2" s="14"/>
      <c r="C2" s="15"/>
    </row>
    <row r="3" spans="1:3" x14ac:dyDescent="0.25">
      <c r="A3" s="13" t="s">
        <v>77</v>
      </c>
      <c r="B3" s="14"/>
      <c r="C3" s="62">
        <v>6</v>
      </c>
    </row>
    <row r="4" spans="1:3" x14ac:dyDescent="0.25">
      <c r="A4" s="13" t="s">
        <v>78</v>
      </c>
      <c r="B4" s="14"/>
      <c r="C4" s="62">
        <v>0.45</v>
      </c>
    </row>
    <row r="5" spans="1:3" x14ac:dyDescent="0.25">
      <c r="A5" s="13" t="s">
        <v>79</v>
      </c>
      <c r="B5" s="14"/>
      <c r="C5" s="62">
        <v>1.1000000000000001</v>
      </c>
    </row>
    <row r="6" spans="1:3" x14ac:dyDescent="0.25">
      <c r="A6" s="13" t="s">
        <v>80</v>
      </c>
      <c r="B6" s="14" t="s">
        <v>83</v>
      </c>
      <c r="C6" s="66">
        <v>0.92</v>
      </c>
    </row>
    <row r="7" spans="1:3" ht="15.75" thickBot="1" x14ac:dyDescent="0.3">
      <c r="A7" s="13" t="s">
        <v>81</v>
      </c>
      <c r="B7" s="14"/>
      <c r="C7" s="72">
        <f>SUM(C3:C6)</f>
        <v>8.4700000000000006</v>
      </c>
    </row>
    <row r="8" spans="1:3" ht="16.5" thickTop="1" thickBot="1" x14ac:dyDescent="0.3">
      <c r="A8" s="17"/>
      <c r="B8" s="18"/>
      <c r="C8" s="51"/>
    </row>
  </sheetData>
  <mergeCells count="1"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E9" sqref="E9"/>
    </sheetView>
  </sheetViews>
  <sheetFormatPr defaultRowHeight="15" x14ac:dyDescent="0.25"/>
  <cols>
    <col min="1" max="1" width="24.85546875" customWidth="1"/>
    <col min="3" max="3" width="12.5703125" bestFit="1" customWidth="1"/>
  </cols>
  <sheetData>
    <row r="1" spans="1:3" x14ac:dyDescent="0.25">
      <c r="A1" s="6" t="s">
        <v>82</v>
      </c>
      <c r="B1" s="7"/>
      <c r="C1" s="8"/>
    </row>
    <row r="2" spans="1:3" x14ac:dyDescent="0.25">
      <c r="A2" s="9" t="s">
        <v>2</v>
      </c>
      <c r="B2" s="10"/>
      <c r="C2" s="11"/>
    </row>
    <row r="3" spans="1:3" x14ac:dyDescent="0.25">
      <c r="A3" s="13"/>
      <c r="B3" s="14"/>
      <c r="C3" s="15"/>
    </row>
    <row r="4" spans="1:3" x14ac:dyDescent="0.25">
      <c r="A4" s="13" t="s">
        <v>84</v>
      </c>
      <c r="B4" s="14"/>
      <c r="C4" s="62">
        <f>'Sales&amp;Cash Collections'!G8</f>
        <v>333600</v>
      </c>
    </row>
    <row r="5" spans="1:3" x14ac:dyDescent="0.25">
      <c r="A5" s="13" t="s">
        <v>85</v>
      </c>
      <c r="B5" s="14"/>
      <c r="C5" s="66">
        <f>'Man. Cost per Unit'!C7*'Sales&amp;Cash Collections'!G10</f>
        <v>235466.00000000003</v>
      </c>
    </row>
    <row r="6" spans="1:3" ht="15.75" thickBot="1" x14ac:dyDescent="0.3">
      <c r="A6" s="13" t="s">
        <v>86</v>
      </c>
      <c r="B6" s="14"/>
      <c r="C6" s="72">
        <f>C4-C5</f>
        <v>98133.999999999971</v>
      </c>
    </row>
    <row r="7" spans="1:3" ht="15.75" thickTop="1" x14ac:dyDescent="0.25">
      <c r="A7" s="13" t="s">
        <v>87</v>
      </c>
      <c r="B7" s="14"/>
      <c r="C7" s="62">
        <f>'Operating Expenses'!F7</f>
        <v>40150</v>
      </c>
    </row>
    <row r="8" spans="1:3" x14ac:dyDescent="0.25">
      <c r="A8" s="13" t="s">
        <v>88</v>
      </c>
      <c r="B8" s="14"/>
      <c r="C8" s="66">
        <v>4600</v>
      </c>
    </row>
    <row r="9" spans="1:3" ht="15.75" thickBot="1" x14ac:dyDescent="0.3">
      <c r="A9" s="13" t="s">
        <v>89</v>
      </c>
      <c r="B9" s="14"/>
      <c r="C9" s="72">
        <f>C6-C7-C8</f>
        <v>53383.999999999971</v>
      </c>
    </row>
    <row r="10" spans="1:3" ht="15.75" thickTop="1" x14ac:dyDescent="0.25">
      <c r="A10" s="13" t="s">
        <v>90</v>
      </c>
      <c r="B10" s="14"/>
      <c r="C10" s="62">
        <f>'Combined Cash Budget'!F21</f>
        <v>40</v>
      </c>
    </row>
    <row r="11" spans="1:3" x14ac:dyDescent="0.25">
      <c r="A11" s="13" t="s">
        <v>91</v>
      </c>
      <c r="B11" s="14"/>
      <c r="C11" s="66">
        <f>'Combined Cash Budget'!D14</f>
        <v>10000</v>
      </c>
    </row>
    <row r="12" spans="1:3" x14ac:dyDescent="0.25">
      <c r="A12" s="13" t="s">
        <v>92</v>
      </c>
      <c r="B12" s="14"/>
      <c r="C12" s="62">
        <f>C9-C10-C11</f>
        <v>43343.999999999971</v>
      </c>
    </row>
    <row r="13" spans="1:3" ht="15.75" thickBot="1" x14ac:dyDescent="0.3">
      <c r="A13" s="17"/>
      <c r="B13" s="18"/>
      <c r="C13" s="51"/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Sales&amp;Cash Collections</vt:lpstr>
      <vt:lpstr>Production</vt:lpstr>
      <vt:lpstr>Direct Materials+Cash Pmnt</vt:lpstr>
      <vt:lpstr>Direct Labor Pmnt</vt:lpstr>
      <vt:lpstr>MOH Budget</vt:lpstr>
      <vt:lpstr>Operating Expenses</vt:lpstr>
      <vt:lpstr>Combined Cash Budget</vt:lpstr>
      <vt:lpstr>Man. Cost per Unit</vt:lpstr>
      <vt:lpstr>Budgeted Income Stmt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dcterms:created xsi:type="dcterms:W3CDTF">2014-11-24T15:37:00Z</dcterms:created>
  <dcterms:modified xsi:type="dcterms:W3CDTF">2014-11-27T17:12:55Z</dcterms:modified>
</cp:coreProperties>
</file>